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govg01-my.sharepoint.com/personal/meribel_moldau_justdigi_ee/Documents/Töölaud/EstDev viimane leping/"/>
    </mc:Choice>
  </mc:AlternateContent>
  <xr:revisionPtr revIDLastSave="1" documentId="13_ncr:1_{161545BF-BFDB-4B65-B4E4-4C5A9DA0C376}" xr6:coauthVersionLast="47" xr6:coauthVersionMax="47" xr10:uidLastSave="{6106961F-8BAC-424E-8CFB-3EC0ACED3A8C}"/>
  <bookViews>
    <workbookView xWindow="-110" yWindow="-110" windowWidth="19420" windowHeight="10300" xr2:uid="{00000000-000D-0000-FFFF-FFFF00000000}"/>
  </bookViews>
  <sheets>
    <sheet name="Eelarve_detailne" sheetId="6" r:id="rId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6" l="1"/>
  <c r="I25" i="6"/>
  <c r="K8" i="6" l="1"/>
  <c r="J8" i="6" l="1"/>
  <c r="I8" i="6"/>
  <c r="K20" i="6"/>
  <c r="J20" i="6"/>
  <c r="G25" i="6"/>
  <c r="G24" i="6"/>
  <c r="G23" i="6"/>
  <c r="H23" i="6" s="1"/>
  <c r="G22" i="6"/>
  <c r="H22" i="6" s="1"/>
  <c r="G21" i="6"/>
  <c r="H21" i="6" s="1"/>
  <c r="H11" i="6"/>
  <c r="H10" i="6" s="1"/>
  <c r="H13" i="6"/>
  <c r="H14" i="6"/>
  <c r="H15" i="6"/>
  <c r="H16" i="6"/>
  <c r="H17" i="6"/>
  <c r="H18" i="6"/>
  <c r="H19" i="6"/>
  <c r="H24" i="6"/>
  <c r="H25" i="6"/>
  <c r="H26" i="6"/>
  <c r="H27" i="6"/>
  <c r="H28" i="6"/>
  <c r="H29" i="6"/>
  <c r="H30" i="6"/>
  <c r="H31" i="6"/>
  <c r="H33" i="6"/>
  <c r="H32" i="6" s="1"/>
  <c r="H9" i="6"/>
  <c r="H8" i="6"/>
  <c r="K9" i="6"/>
  <c r="J9" i="6"/>
  <c r="I9" i="6"/>
  <c r="L31" i="6"/>
  <c r="J18" i="6"/>
  <c r="I18" i="6"/>
  <c r="K18" i="6"/>
  <c r="J17" i="6"/>
  <c r="H12" i="6" l="1"/>
  <c r="I20" i="6"/>
  <c r="H20" i="6"/>
  <c r="L9" i="6"/>
  <c r="K15" i="6"/>
  <c r="J15" i="6"/>
  <c r="I15" i="6"/>
  <c r="J14" i="6"/>
  <c r="J13" i="6"/>
  <c r="L35" i="6"/>
  <c r="L34" i="6" s="1"/>
  <c r="I34" i="6"/>
  <c r="J34" i="6"/>
  <c r="I32" i="6"/>
  <c r="J32" i="6"/>
  <c r="K32" i="6"/>
  <c r="K10" i="6"/>
  <c r="J7" i="6"/>
  <c r="K14" i="6"/>
  <c r="K13" i="6"/>
  <c r="J10" i="6"/>
  <c r="L17" i="6"/>
  <c r="I14" i="6"/>
  <c r="I13" i="6"/>
  <c r="I10" i="6"/>
  <c r="L33" i="6"/>
  <c r="L32" i="6" s="1"/>
  <c r="L22" i="6"/>
  <c r="L23" i="6"/>
  <c r="L24" i="6"/>
  <c r="L26" i="6"/>
  <c r="L27" i="6"/>
  <c r="L28" i="6"/>
  <c r="L29" i="6"/>
  <c r="L30" i="6"/>
  <c r="L21" i="6"/>
  <c r="L16" i="6"/>
  <c r="L19" i="6"/>
  <c r="L11" i="6"/>
  <c r="H35" i="6"/>
  <c r="H34" i="6" s="1"/>
  <c r="I12" i="6" l="1"/>
  <c r="I7" i="6"/>
  <c r="I36" i="6" s="1"/>
  <c r="K7" i="6"/>
  <c r="L13" i="6"/>
  <c r="K34" i="6"/>
  <c r="K12" i="6"/>
  <c r="J12" i="6"/>
  <c r="J36" i="6" s="1"/>
  <c r="L8" i="6"/>
  <c r="L15" i="6"/>
  <c r="L25" i="6"/>
  <c r="L10" i="6" s="1"/>
  <c r="L18" i="6"/>
  <c r="L14" i="6"/>
  <c r="L20" i="6" l="1"/>
  <c r="L12" i="6"/>
  <c r="L7" i="6"/>
  <c r="K36" i="6"/>
  <c r="L36" i="6" l="1"/>
  <c r="H7" i="6" l="1"/>
  <c r="H36" i="6" s="1"/>
</calcChain>
</file>

<file path=xl/sharedStrings.xml><?xml version="1.0" encoding="utf-8"?>
<sst xmlns="http://schemas.openxmlformats.org/spreadsheetml/2006/main" count="108" uniqueCount="78">
  <si>
    <t>Projekti periood: 01.04.2025-30.11.2027</t>
  </si>
  <si>
    <t>EELARVE</t>
  </si>
  <si>
    <t>Kirjeldus</t>
  </si>
  <si>
    <t>Ajaline panus (%)</t>
  </si>
  <si>
    <t xml:space="preserve"> Eelarveüksus</t>
  </si>
  <si>
    <t>Mõõtühik</t>
  </si>
  <si>
    <t xml:space="preserve">Vahesumma </t>
  </si>
  <si>
    <t>ESTDEV rahaline panus</t>
  </si>
  <si>
    <t>SUMMA</t>
  </si>
  <si>
    <t>Selgitus</t>
  </si>
  <si>
    <t>2. Väliseksperdid (sh käsunduslepinguga)</t>
  </si>
  <si>
    <t>3. Reisi- ja transpordikulud (lähetuskulud)</t>
  </si>
  <si>
    <t>päev</t>
  </si>
  <si>
    <t>4. Koolitus- ja muud tegevuskulud (sh osalejatega seotud kulud)</t>
  </si>
  <si>
    <t>5. Hangitavad tooted ja teenused (hanked, teenuslepingud)</t>
  </si>
  <si>
    <t>6. Üldkulud</t>
  </si>
  <si>
    <t>Projekti nimi:Ukraina vanglaametnike pädevusstandardite tõstmine ja ühtlustamine Euroopa normidega</t>
  </si>
  <si>
    <t>Eelarve
rida</t>
  </si>
  <si>
    <t>Kogus (#)</t>
  </si>
  <si>
    <t>2025 aasta</t>
  </si>
  <si>
    <t>2026 aasta</t>
  </si>
  <si>
    <t>2027 aasta</t>
  </si>
  <si>
    <r>
      <t>1. Töölepingulised töötajad</t>
    </r>
    <r>
      <rPr>
        <b/>
        <sz val="11"/>
        <color theme="1"/>
        <rFont val="Arial"/>
        <family val="2"/>
      </rPr>
      <t xml:space="preserve">
</t>
    </r>
  </si>
  <si>
    <t xml:space="preserve">Eestipoolne projektijuht (3000€ töötasu juures + maksud) </t>
  </si>
  <si>
    <t>1.1</t>
  </si>
  <si>
    <t>inimene</t>
  </si>
  <si>
    <t>kuud</t>
  </si>
  <si>
    <t>Ukrainapoolne projektijuht (1500€ töötasu juures)</t>
  </si>
  <si>
    <t>1.2</t>
  </si>
  <si>
    <t>Transport (lennupiletid + rongipiletid + kütusekulu/rendikulu + taksokulu+ transpordiga seotud muud kulud)</t>
  </si>
  <si>
    <t>3.1</t>
  </si>
  <si>
    <t>reis</t>
  </si>
  <si>
    <t>3.2</t>
  </si>
  <si>
    <t>Majutuskulu (hotell)</t>
  </si>
  <si>
    <t>3.3</t>
  </si>
  <si>
    <t>öö/inimene</t>
  </si>
  <si>
    <t xml:space="preserve">Majutuskulu (hotell või korterimajutus) </t>
  </si>
  <si>
    <t>3.4</t>
  </si>
  <si>
    <t xml:space="preserve">Majutuskulu (hotell võu ühiselamu) </t>
  </si>
  <si>
    <t>3.5</t>
  </si>
  <si>
    <t>Päevaraha (sh toitlustuskulu+maksud)</t>
  </si>
  <si>
    <t>3.6</t>
  </si>
  <si>
    <t>inimene/päev</t>
  </si>
  <si>
    <t xml:space="preserve">Päevaraha (sh toitlustuskulu+maksud) </t>
  </si>
  <si>
    <t>3.7</t>
  </si>
  <si>
    <t>Sisekaitseakadeemia 10 päeva*8h koolitus  (2 läbiviijat 35 eur/h+ maksud)</t>
  </si>
  <si>
    <t>4.1</t>
  </si>
  <si>
    <t>koolitus</t>
  </si>
  <si>
    <t>tund</t>
  </si>
  <si>
    <t>Sisekaitseakadeemia 5 päevane seminar ( 1,0 koormus 35 eur/h+ maksud)</t>
  </si>
  <si>
    <t>4.2</t>
  </si>
  <si>
    <t>Sisekaitseakadeemia digiõpiku loomine ( 1,0 koormus 35 eur/h+ maksud 5 tööpäeva)</t>
  </si>
  <si>
    <t>4.3</t>
  </si>
  <si>
    <t>teenus</t>
  </si>
  <si>
    <t>4.4</t>
  </si>
  <si>
    <t xml:space="preserve">Eksperdi koolitus kulud (350€ + maksud) </t>
  </si>
  <si>
    <t>4.5</t>
  </si>
  <si>
    <t xml:space="preserve">Tõlketeenus (raamatu tõlge) </t>
  </si>
  <si>
    <t>4.6</t>
  </si>
  <si>
    <t>lehekülg</t>
  </si>
  <si>
    <t xml:space="preserve">Seminari kulu (Core Correctional Skills) </t>
  </si>
  <si>
    <t>4.7</t>
  </si>
  <si>
    <t>Litsents (raamatule "Core Correctional Skills")</t>
  </si>
  <si>
    <t>4.8</t>
  </si>
  <si>
    <t>ühik</t>
  </si>
  <si>
    <t>Raamatu kirjastamine (küljendus ja trükk)</t>
  </si>
  <si>
    <t>4.9</t>
  </si>
  <si>
    <t>raamat</t>
  </si>
  <si>
    <t xml:space="preserve">Raamatute saatmiskulu Ukrainasse </t>
  </si>
  <si>
    <t>4.10</t>
  </si>
  <si>
    <t>gramm</t>
  </si>
  <si>
    <t>Tõlkekulu</t>
  </si>
  <si>
    <t>4.11</t>
  </si>
  <si>
    <t>vajadus</t>
  </si>
  <si>
    <t>5.1</t>
  </si>
  <si>
    <t>Muud kulud (nt meened, ühisüritused, rendikulu, ootamatud kulud)</t>
  </si>
  <si>
    <t>6.1</t>
  </si>
  <si>
    <t xml:space="preserve">Projekti kood: 8VS1-VM-UA-JUMV25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</si>
</sst>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\ &quot;€&quot;"/>
  </numFmts>
  <fonts count="1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186"/>
    </font>
    <font>
      <b/>
      <sz val="12"/>
      <color rgb="FF252FF7"/>
      <name val="Arial Cyr"/>
      <charset val="186"/>
    </font>
    <font>
      <sz val="12"/>
      <color rgb="FF252FF7"/>
      <name val="Arial Cyr"/>
      <charset val="186"/>
    </font>
    <font>
      <b/>
      <sz val="11"/>
      <color theme="1"/>
      <name val="Arial"/>
      <family val="2"/>
      <charset val="186"/>
    </font>
    <font>
      <b/>
      <sz val="11"/>
      <color theme="1"/>
      <name val="Arial"/>
      <family val="2"/>
    </font>
    <font>
      <b/>
      <sz val="10"/>
      <name val="Arial Cyr"/>
      <charset val="204"/>
    </font>
    <font>
      <sz val="10"/>
      <name val="Arial Cyr"/>
      <charset val="186"/>
    </font>
    <font>
      <sz val="10"/>
      <color theme="1"/>
      <name val="Arial Cyr"/>
      <charset val="186"/>
    </font>
    <font>
      <b/>
      <sz val="14"/>
      <name val="Arial Cyr"/>
      <charset val="186"/>
    </font>
    <font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 Cyr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3FF"/>
        <bgColor indexed="64"/>
      </patternFill>
    </fill>
    <fill>
      <patternFill patternType="solid">
        <fgColor rgb="FF65A3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/>
    <xf numFmtId="165" fontId="0" fillId="2" borderId="0" xfId="0" applyNumberFormat="1" applyFill="1"/>
    <xf numFmtId="0" fontId="5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9" fontId="11" fillId="3" borderId="1" xfId="2" applyFont="1" applyFill="1" applyBorder="1" applyAlignment="1"/>
    <xf numFmtId="0" fontId="11" fillId="3" borderId="1" xfId="0" applyFont="1" applyFill="1" applyBorder="1"/>
    <xf numFmtId="165" fontId="11" fillId="3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3" xfId="1" applyNumberFormat="1" applyFont="1" applyBorder="1" applyAlignment="1">
      <alignment horizontal="center"/>
    </xf>
    <xf numFmtId="9" fontId="9" fillId="0" borderId="1" xfId="2" applyFont="1" applyFill="1" applyBorder="1" applyAlignment="1">
      <alignment horizontal="center"/>
    </xf>
    <xf numFmtId="9" fontId="11" fillId="3" borderId="1" xfId="2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8" fillId="0" borderId="1" xfId="1" applyNumberFormat="1" applyFont="1" applyFill="1" applyBorder="1" applyAlignment="1">
      <alignment horizontal="center" vertical="top"/>
    </xf>
    <xf numFmtId="0" fontId="8" fillId="0" borderId="1" xfId="0" applyFont="1" applyBorder="1"/>
    <xf numFmtId="165" fontId="9" fillId="0" borderId="1" xfId="1" applyNumberFormat="1" applyFont="1" applyFill="1" applyBorder="1" applyAlignment="1">
      <alignment horizontal="center"/>
    </xf>
    <xf numFmtId="9" fontId="8" fillId="0" borderId="1" xfId="2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165" fontId="8" fillId="0" borderId="1" xfId="1" applyNumberFormat="1" applyFont="1" applyBorder="1" applyAlignment="1" applyProtection="1">
      <alignment horizontal="center" vertical="top"/>
      <protection locked="0"/>
    </xf>
    <xf numFmtId="165" fontId="8" fillId="0" borderId="3" xfId="1" applyNumberFormat="1" applyFont="1" applyBorder="1" applyAlignment="1" applyProtection="1">
      <alignment horizontal="center" vertical="top"/>
      <protection locked="0"/>
    </xf>
    <xf numFmtId="0" fontId="12" fillId="3" borderId="2" xfId="0" applyFont="1" applyFill="1" applyBorder="1" applyAlignment="1">
      <alignment horizontal="center"/>
    </xf>
    <xf numFmtId="165" fontId="8" fillId="0" borderId="3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11" fillId="2" borderId="1" xfId="2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5" fontId="11" fillId="2" borderId="1" xfId="1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165" fontId="13" fillId="4" borderId="5" xfId="1" applyNumberFormat="1" applyFont="1" applyFill="1" applyBorder="1" applyAlignment="1">
      <alignment horizontal="center"/>
    </xf>
    <xf numFmtId="165" fontId="13" fillId="4" borderId="9" xfId="1" applyNumberFormat="1" applyFont="1" applyFill="1" applyBorder="1" applyAlignment="1">
      <alignment horizontal="center"/>
    </xf>
    <xf numFmtId="165" fontId="10" fillId="0" borderId="0" xfId="0" applyNumberFormat="1" applyFont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 vertical="top"/>
    </xf>
    <xf numFmtId="49" fontId="12" fillId="3" borderId="1" xfId="0" applyNumberFormat="1" applyFont="1" applyFill="1" applyBorder="1" applyAlignment="1">
      <alignment horizontal="center"/>
    </xf>
    <xf numFmtId="49" fontId="13" fillId="4" borderId="5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9" fontId="9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8" fillId="2" borderId="3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2" fontId="9" fillId="2" borderId="1" xfId="2" applyNumberFormat="1" applyFont="1" applyFill="1" applyBorder="1" applyAlignment="1">
      <alignment horizontal="center"/>
    </xf>
    <xf numFmtId="49" fontId="8" fillId="2" borderId="3" xfId="1" applyNumberFormat="1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/>
      <protection locked="0"/>
    </xf>
  </cellXfs>
  <cellStyles count="3">
    <cellStyle name="Koma" xfId="1" builtinId="3"/>
    <cellStyle name="Normaallaad" xfId="0" builtinId="0"/>
    <cellStyle name="Protsent" xfId="2" builtinId="5"/>
  </cellStyles>
  <dxfs count="0"/>
  <tableStyles count="0" defaultTableStyle="TableStyleMedium9" defaultPivotStyle="PivotStyleLight16"/>
  <colors>
    <mruColors>
      <color rgb="FF65A3FF"/>
      <color rgb="FFEBF3FF"/>
      <color rgb="FF257DFF"/>
      <color rgb="FF252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826207</xdr:colOff>
      <xdr:row>0</xdr:row>
      <xdr:rowOff>158751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832556" cy="166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zoomScale="90" zoomScaleNormal="90" workbookViewId="0">
      <selection activeCell="A4" sqref="A4"/>
    </sheetView>
  </sheetViews>
  <sheetFormatPr defaultColWidth="9.36328125" defaultRowHeight="12.5"/>
  <cols>
    <col min="1" max="1" width="99.453125" style="2" customWidth="1"/>
    <col min="2" max="2" width="9.453125" style="2" customWidth="1"/>
    <col min="3" max="3" width="9.453125" customWidth="1"/>
    <col min="4" max="4" width="18" bestFit="1" customWidth="1"/>
    <col min="5" max="5" width="14.54296875" customWidth="1"/>
    <col min="6" max="6" width="16.08984375" customWidth="1"/>
    <col min="7" max="7" width="18.54296875" style="1" customWidth="1"/>
    <col min="8" max="11" width="20" customWidth="1"/>
    <col min="12" max="12" width="20.08984375" style="1" bestFit="1" customWidth="1"/>
    <col min="13" max="13" width="43.08984375" customWidth="1"/>
    <col min="14" max="14" width="20.08984375" bestFit="1" customWidth="1"/>
  </cols>
  <sheetData>
    <row r="1" spans="1:17" ht="14.15" customHeight="1">
      <c r="A1" s="11"/>
      <c r="B1" s="11"/>
    </row>
    <row r="2" spans="1:17" ht="15.5">
      <c r="A2" s="12" t="s">
        <v>16</v>
      </c>
      <c r="B2" s="12"/>
      <c r="G2"/>
    </row>
    <row r="3" spans="1:17" ht="15.5">
      <c r="A3" s="12" t="s">
        <v>77</v>
      </c>
      <c r="B3" s="12"/>
    </row>
    <row r="4" spans="1:17" ht="15.5">
      <c r="A4" s="12" t="s">
        <v>0</v>
      </c>
      <c r="B4" s="12"/>
      <c r="D4" s="1"/>
    </row>
    <row r="5" spans="1:17" ht="16" thickBot="1">
      <c r="A5" s="7" t="s">
        <v>1</v>
      </c>
      <c r="B5" s="7"/>
      <c r="G5"/>
    </row>
    <row r="6" spans="1:17" ht="75" customHeight="1">
      <c r="A6" s="14" t="s">
        <v>2</v>
      </c>
      <c r="B6" s="58" t="s">
        <v>17</v>
      </c>
      <c r="C6" s="15" t="s">
        <v>3</v>
      </c>
      <c r="D6" s="15" t="s">
        <v>4</v>
      </c>
      <c r="E6" s="15" t="s">
        <v>18</v>
      </c>
      <c r="F6" s="15" t="s">
        <v>5</v>
      </c>
      <c r="G6" s="16" t="s">
        <v>6</v>
      </c>
      <c r="H6" s="15" t="s">
        <v>7</v>
      </c>
      <c r="I6" s="15" t="s">
        <v>19</v>
      </c>
      <c r="J6" s="15" t="s">
        <v>20</v>
      </c>
      <c r="K6" s="15" t="s">
        <v>21</v>
      </c>
      <c r="L6" s="16" t="s">
        <v>8</v>
      </c>
      <c r="M6" s="17" t="s">
        <v>9</v>
      </c>
      <c r="N6" s="3"/>
      <c r="O6" s="3"/>
      <c r="P6" s="3"/>
      <c r="Q6" s="3"/>
    </row>
    <row r="7" spans="1:17" ht="28">
      <c r="A7" s="18" t="s">
        <v>22</v>
      </c>
      <c r="B7" s="51"/>
      <c r="C7" s="19"/>
      <c r="D7" s="20"/>
      <c r="E7" s="20"/>
      <c r="F7" s="20"/>
      <c r="G7" s="21"/>
      <c r="H7" s="22">
        <f>SUM(H8:H9)</f>
        <v>103379</v>
      </c>
      <c r="I7" s="22">
        <f>SUM(I8:I9)</f>
        <v>30013</v>
      </c>
      <c r="J7" s="22">
        <f>SUM(J8:J9)</f>
        <v>40018</v>
      </c>
      <c r="K7" s="22">
        <f>SUM(K8:K9)</f>
        <v>33348</v>
      </c>
      <c r="L7" s="22">
        <f>SUM(L8:L9)</f>
        <v>103379</v>
      </c>
      <c r="M7" s="23"/>
    </row>
    <row r="8" spans="1:17" ht="12.65" customHeight="1">
      <c r="A8" s="13" t="s">
        <v>23</v>
      </c>
      <c r="B8" s="52" t="s">
        <v>24</v>
      </c>
      <c r="C8" s="59">
        <v>0.7</v>
      </c>
      <c r="D8" s="60" t="s">
        <v>25</v>
      </c>
      <c r="E8" s="60">
        <v>31</v>
      </c>
      <c r="F8" s="60" t="s">
        <v>26</v>
      </c>
      <c r="G8" s="61">
        <v>4014</v>
      </c>
      <c r="H8" s="62">
        <f>ROUND(C8*E8*G8,0)</f>
        <v>87104</v>
      </c>
      <c r="I8" s="62">
        <f>ROUND(9*2809.8,0)</f>
        <v>25288</v>
      </c>
      <c r="J8" s="62">
        <f>ROUND(12*2809.8,0)</f>
        <v>33718</v>
      </c>
      <c r="K8" s="62">
        <f>ROUND(10*2809.8,0)</f>
        <v>28098</v>
      </c>
      <c r="L8" s="61">
        <f>I8+J8+K8</f>
        <v>87104</v>
      </c>
      <c r="M8" s="71"/>
    </row>
    <row r="9" spans="1:17" ht="12.65" customHeight="1">
      <c r="A9" s="13" t="s">
        <v>27</v>
      </c>
      <c r="B9" s="52" t="s">
        <v>28</v>
      </c>
      <c r="C9" s="59">
        <v>0.35</v>
      </c>
      <c r="D9" s="60" t="s">
        <v>25</v>
      </c>
      <c r="E9" s="60">
        <v>31</v>
      </c>
      <c r="F9" s="60" t="s">
        <v>26</v>
      </c>
      <c r="G9" s="61">
        <v>1500</v>
      </c>
      <c r="H9" s="62">
        <f>ROUND(C9*E9*G9,0)</f>
        <v>16275</v>
      </c>
      <c r="I9" s="62">
        <f>9*525</f>
        <v>4725</v>
      </c>
      <c r="J9" s="62">
        <f>12*525</f>
        <v>6300</v>
      </c>
      <c r="K9" s="62">
        <f>10*525</f>
        <v>5250</v>
      </c>
      <c r="L9" s="61">
        <f>I9+J9+K9</f>
        <v>16275</v>
      </c>
    </row>
    <row r="10" spans="1:17" ht="14">
      <c r="A10" s="6" t="s">
        <v>10</v>
      </c>
      <c r="B10" s="53"/>
      <c r="C10" s="27"/>
      <c r="D10" s="28"/>
      <c r="E10" s="28"/>
      <c r="F10" s="28"/>
      <c r="G10" s="29"/>
      <c r="H10" s="30">
        <f>SUM(H11:H11)</f>
        <v>0</v>
      </c>
      <c r="I10" s="30">
        <f>SUM(I11:I11)</f>
        <v>0</v>
      </c>
      <c r="J10" s="30">
        <f>SUM(J11:J11)</f>
        <v>0</v>
      </c>
      <c r="K10" s="30">
        <f>SUM(K11:K11)</f>
        <v>0</v>
      </c>
      <c r="L10" s="30">
        <f>SUM(L11:L11)</f>
        <v>0</v>
      </c>
      <c r="M10" s="31"/>
    </row>
    <row r="11" spans="1:17" ht="12.75" customHeight="1">
      <c r="A11" s="8"/>
      <c r="B11" s="54"/>
      <c r="C11" s="26"/>
      <c r="D11" s="32"/>
      <c r="E11" s="32"/>
      <c r="F11" s="32"/>
      <c r="G11" s="33"/>
      <c r="H11" s="24">
        <f>E11*G11</f>
        <v>0</v>
      </c>
      <c r="I11" s="24">
        <v>0</v>
      </c>
      <c r="J11" s="24">
        <v>0</v>
      </c>
      <c r="K11" s="24">
        <v>0</v>
      </c>
      <c r="L11" s="61">
        <f t="shared" ref="L11:L35" si="0">I11+J11+K11</f>
        <v>0</v>
      </c>
      <c r="M11" s="25"/>
    </row>
    <row r="12" spans="1:17" ht="15" customHeight="1">
      <c r="A12" s="6" t="s">
        <v>11</v>
      </c>
      <c r="B12" s="53"/>
      <c r="C12" s="27"/>
      <c r="D12" s="28"/>
      <c r="E12" s="28"/>
      <c r="F12" s="28"/>
      <c r="G12" s="29"/>
      <c r="H12" s="30">
        <f>SUM(H13:H19)</f>
        <v>234275</v>
      </c>
      <c r="I12" s="30">
        <f>SUM(I13:I19)</f>
        <v>91575</v>
      </c>
      <c r="J12" s="30">
        <f>SUM(J13:J19)</f>
        <v>53650</v>
      </c>
      <c r="K12" s="30">
        <f>SUM(K13:K19)</f>
        <v>89050</v>
      </c>
      <c r="L12" s="30">
        <f>SUM(L13:L19)</f>
        <v>234275</v>
      </c>
      <c r="M12" s="31"/>
    </row>
    <row r="13" spans="1:17" ht="12.75" customHeight="1">
      <c r="A13" s="64" t="s">
        <v>29</v>
      </c>
      <c r="B13" s="54" t="s">
        <v>30</v>
      </c>
      <c r="C13" s="26"/>
      <c r="D13" s="66" t="s">
        <v>31</v>
      </c>
      <c r="E13" s="66">
        <v>56</v>
      </c>
      <c r="F13" s="66" t="s">
        <v>25</v>
      </c>
      <c r="G13" s="67">
        <v>800</v>
      </c>
      <c r="H13" s="62">
        <f t="shared" ref="H13:H19" si="1">E13*G13</f>
        <v>44800</v>
      </c>
      <c r="I13" s="62">
        <f>8000+8000+8000+800</f>
        <v>24800</v>
      </c>
      <c r="J13" s="62">
        <f>4000</f>
        <v>4000</v>
      </c>
      <c r="K13" s="62">
        <f>8000+8000</f>
        <v>16000</v>
      </c>
      <c r="L13" s="61">
        <f t="shared" si="0"/>
        <v>44800</v>
      </c>
      <c r="M13" s="63"/>
    </row>
    <row r="14" spans="1:17" ht="12.75" customHeight="1">
      <c r="A14" s="64" t="s">
        <v>29</v>
      </c>
      <c r="B14" s="54" t="s">
        <v>32</v>
      </c>
      <c r="C14" s="26"/>
      <c r="D14" s="66" t="s">
        <v>31</v>
      </c>
      <c r="E14" s="66">
        <v>53</v>
      </c>
      <c r="F14" s="66" t="s">
        <v>25</v>
      </c>
      <c r="G14" s="67">
        <v>700</v>
      </c>
      <c r="H14" s="62">
        <f t="shared" si="1"/>
        <v>37100</v>
      </c>
      <c r="I14" s="62">
        <f>5600</f>
        <v>5600</v>
      </c>
      <c r="J14" s="62">
        <f>2100+5600+5600+5600</f>
        <v>18900</v>
      </c>
      <c r="K14" s="62">
        <f>1400+5600+5600</f>
        <v>12600</v>
      </c>
      <c r="L14" s="61">
        <f t="shared" si="0"/>
        <v>37100</v>
      </c>
      <c r="M14" s="63"/>
    </row>
    <row r="15" spans="1:17" s="4" customFormat="1" ht="12.65" customHeight="1">
      <c r="A15" s="68" t="s">
        <v>33</v>
      </c>
      <c r="B15" s="69" t="s">
        <v>34</v>
      </c>
      <c r="C15" s="70"/>
      <c r="D15" s="66" t="s">
        <v>31</v>
      </c>
      <c r="E15" s="66">
        <v>437</v>
      </c>
      <c r="F15" s="66" t="s">
        <v>35</v>
      </c>
      <c r="G15" s="67">
        <v>100</v>
      </c>
      <c r="H15" s="62">
        <f t="shared" si="1"/>
        <v>43700</v>
      </c>
      <c r="I15" s="62">
        <f>5000+4000+7000+700</f>
        <v>16700</v>
      </c>
      <c r="J15" s="62">
        <f>4000+4000+4000</f>
        <v>12000</v>
      </c>
      <c r="K15" s="62">
        <f>7000+4000+4000</f>
        <v>15000</v>
      </c>
      <c r="L15" s="61">
        <f t="shared" si="0"/>
        <v>43700</v>
      </c>
      <c r="M15" s="63"/>
    </row>
    <row r="16" spans="1:17" s="4" customFormat="1" ht="12.75" customHeight="1">
      <c r="A16" s="68" t="s">
        <v>36</v>
      </c>
      <c r="B16" s="69" t="s">
        <v>37</v>
      </c>
      <c r="C16" s="70"/>
      <c r="D16" s="66" t="s">
        <v>31</v>
      </c>
      <c r="E16" s="66">
        <v>560</v>
      </c>
      <c r="F16" s="66" t="s">
        <v>35</v>
      </c>
      <c r="G16" s="67">
        <v>50</v>
      </c>
      <c r="H16" s="62">
        <f t="shared" si="1"/>
        <v>28000</v>
      </c>
      <c r="I16" s="62">
        <v>14000</v>
      </c>
      <c r="J16" s="62"/>
      <c r="K16" s="62">
        <v>14000</v>
      </c>
      <c r="L16" s="61">
        <f t="shared" si="0"/>
        <v>28000</v>
      </c>
      <c r="M16" s="63"/>
    </row>
    <row r="17" spans="1:13" s="4" customFormat="1" ht="12.75" customHeight="1">
      <c r="A17" s="68" t="s">
        <v>38</v>
      </c>
      <c r="B17" s="69" t="s">
        <v>39</v>
      </c>
      <c r="C17" s="70"/>
      <c r="D17" s="66" t="s">
        <v>31</v>
      </c>
      <c r="E17" s="66">
        <v>80</v>
      </c>
      <c r="F17" s="66" t="s">
        <v>35</v>
      </c>
      <c r="G17" s="67">
        <v>30</v>
      </c>
      <c r="H17" s="62">
        <f t="shared" si="1"/>
        <v>2400</v>
      </c>
      <c r="I17" s="62"/>
      <c r="J17" s="62">
        <f>630+1050+420</f>
        <v>2100</v>
      </c>
      <c r="K17" s="62">
        <v>300</v>
      </c>
      <c r="L17" s="61">
        <f t="shared" si="0"/>
        <v>2400</v>
      </c>
      <c r="M17" s="63"/>
    </row>
    <row r="18" spans="1:13" s="4" customFormat="1" ht="12.75" customHeight="1">
      <c r="A18" s="68" t="s">
        <v>40</v>
      </c>
      <c r="B18" s="69" t="s">
        <v>41</v>
      </c>
      <c r="C18" s="59"/>
      <c r="D18" s="66" t="s">
        <v>31</v>
      </c>
      <c r="E18" s="66">
        <v>905</v>
      </c>
      <c r="F18" s="66" t="s">
        <v>42</v>
      </c>
      <c r="G18" s="67">
        <v>75</v>
      </c>
      <c r="H18" s="62">
        <f t="shared" si="1"/>
        <v>67875</v>
      </c>
      <c r="I18" s="62">
        <f>5250+3000+11250+5250+525</f>
        <v>25275</v>
      </c>
      <c r="J18" s="62">
        <f>1575+4200+4200+2625+1050+3000</f>
        <v>16650</v>
      </c>
      <c r="K18" s="62">
        <f>5250+1050+11250+4200+4200</f>
        <v>25950</v>
      </c>
      <c r="L18" s="61">
        <f t="shared" si="0"/>
        <v>67875</v>
      </c>
      <c r="M18" s="63"/>
    </row>
    <row r="19" spans="1:13" s="4" customFormat="1" ht="12.75" customHeight="1">
      <c r="A19" s="68" t="s">
        <v>43</v>
      </c>
      <c r="B19" s="69" t="s">
        <v>44</v>
      </c>
      <c r="C19" s="59"/>
      <c r="D19" s="66" t="s">
        <v>31</v>
      </c>
      <c r="E19" s="66">
        <v>260</v>
      </c>
      <c r="F19" s="66" t="s">
        <v>42</v>
      </c>
      <c r="G19" s="67">
        <v>40</v>
      </c>
      <c r="H19" s="62">
        <f t="shared" si="1"/>
        <v>10400</v>
      </c>
      <c r="I19" s="62">
        <v>5200</v>
      </c>
      <c r="J19" s="62"/>
      <c r="K19" s="62">
        <v>5200</v>
      </c>
      <c r="L19" s="61">
        <f t="shared" si="0"/>
        <v>10400</v>
      </c>
      <c r="M19" s="63"/>
    </row>
    <row r="20" spans="1:13" ht="14">
      <c r="A20" s="6" t="s">
        <v>13</v>
      </c>
      <c r="B20" s="53"/>
      <c r="C20" s="27"/>
      <c r="D20" s="28"/>
      <c r="E20" s="28"/>
      <c r="F20" s="28"/>
      <c r="G20" s="29"/>
      <c r="H20" s="30">
        <f>SUM(H21:H31)</f>
        <v>86828</v>
      </c>
      <c r="I20" s="30">
        <f>SUM(I21:I31)</f>
        <v>39472</v>
      </c>
      <c r="J20" s="30">
        <f>SUM(J21:J31)</f>
        <v>35900</v>
      </c>
      <c r="K20" s="30">
        <f>SUM(K21:K31)</f>
        <v>11456</v>
      </c>
      <c r="L20" s="30">
        <f>SUM(L21:L31)</f>
        <v>86828</v>
      </c>
      <c r="M20" s="31"/>
    </row>
    <row r="21" spans="1:13" ht="12.75" customHeight="1">
      <c r="A21" s="8" t="s">
        <v>45</v>
      </c>
      <c r="B21" s="54" t="s">
        <v>46</v>
      </c>
      <c r="C21" s="26"/>
      <c r="D21" s="32" t="s">
        <v>47</v>
      </c>
      <c r="E21" s="32">
        <v>160</v>
      </c>
      <c r="F21" s="32" t="s">
        <v>48</v>
      </c>
      <c r="G21" s="67">
        <f>ROUND(46.83,0)</f>
        <v>47</v>
      </c>
      <c r="H21" s="24">
        <f>ROUND(E21*G21,0)</f>
        <v>7520</v>
      </c>
      <c r="I21" s="24">
        <v>7520</v>
      </c>
      <c r="J21" s="24"/>
      <c r="K21" s="24"/>
      <c r="L21" s="61">
        <f t="shared" si="0"/>
        <v>7520</v>
      </c>
      <c r="M21" s="25"/>
    </row>
    <row r="22" spans="1:13" ht="12.75" customHeight="1">
      <c r="A22" s="8" t="s">
        <v>49</v>
      </c>
      <c r="B22" s="54" t="s">
        <v>50</v>
      </c>
      <c r="C22" s="26"/>
      <c r="D22" s="32" t="s">
        <v>47</v>
      </c>
      <c r="E22" s="32">
        <v>40</v>
      </c>
      <c r="F22" s="32" t="s">
        <v>48</v>
      </c>
      <c r="G22" s="67">
        <f>ROUND(46.83,0)</f>
        <v>47</v>
      </c>
      <c r="H22" s="24">
        <f>ROUND(E22*G22,0)</f>
        <v>1880</v>
      </c>
      <c r="I22" s="24">
        <v>1880</v>
      </c>
      <c r="J22" s="24"/>
      <c r="K22" s="24"/>
      <c r="L22" s="61">
        <f t="shared" si="0"/>
        <v>1880</v>
      </c>
      <c r="M22" s="25"/>
    </row>
    <row r="23" spans="1:13" ht="12.65" customHeight="1">
      <c r="A23" s="65" t="s">
        <v>51</v>
      </c>
      <c r="B23" s="55" t="s">
        <v>52</v>
      </c>
      <c r="C23" s="36"/>
      <c r="D23" s="37" t="s">
        <v>53</v>
      </c>
      <c r="E23" s="37">
        <v>40</v>
      </c>
      <c r="F23" s="37" t="s">
        <v>48</v>
      </c>
      <c r="G23" s="67">
        <f>ROUND(46.83,0)</f>
        <v>47</v>
      </c>
      <c r="H23" s="24">
        <f t="shared" ref="H23:H31" si="2">E23*G23</f>
        <v>1880</v>
      </c>
      <c r="I23" s="24"/>
      <c r="J23" s="38">
        <v>1880</v>
      </c>
      <c r="K23" s="38"/>
      <c r="L23" s="61">
        <f t="shared" si="0"/>
        <v>1880</v>
      </c>
      <c r="M23" s="39"/>
    </row>
    <row r="24" spans="1:13" ht="12.65" customHeight="1">
      <c r="A24" s="65" t="s">
        <v>45</v>
      </c>
      <c r="B24" s="55" t="s">
        <v>54</v>
      </c>
      <c r="C24" s="36"/>
      <c r="D24" s="37" t="s">
        <v>47</v>
      </c>
      <c r="E24" s="37">
        <v>160</v>
      </c>
      <c r="F24" s="37" t="s">
        <v>48</v>
      </c>
      <c r="G24" s="67">
        <f>ROUND(46.83,0)</f>
        <v>47</v>
      </c>
      <c r="H24" s="24">
        <f t="shared" si="2"/>
        <v>7520</v>
      </c>
      <c r="I24" s="24"/>
      <c r="J24" s="38"/>
      <c r="K24" s="38">
        <v>7520</v>
      </c>
      <c r="L24" s="61">
        <f t="shared" si="0"/>
        <v>7520</v>
      </c>
      <c r="M24" s="39"/>
    </row>
    <row r="25" spans="1:13" ht="12.75" customHeight="1">
      <c r="A25" s="8" t="s">
        <v>55</v>
      </c>
      <c r="B25" s="54" t="s">
        <v>56</v>
      </c>
      <c r="C25" s="26">
        <v>1</v>
      </c>
      <c r="D25" s="32" t="s">
        <v>25</v>
      </c>
      <c r="E25" s="32">
        <v>29</v>
      </c>
      <c r="F25" s="32" t="s">
        <v>12</v>
      </c>
      <c r="G25" s="33">
        <f>ROUND(468.3,0)</f>
        <v>468</v>
      </c>
      <c r="H25" s="24">
        <f>E25*G25</f>
        <v>13572</v>
      </c>
      <c r="I25" s="24">
        <f>3276+2340</f>
        <v>5616</v>
      </c>
      <c r="J25" s="24">
        <f>2340+4680</f>
        <v>7020</v>
      </c>
      <c r="K25" s="24">
        <v>936</v>
      </c>
      <c r="L25" s="61">
        <f>I25+J25+K25</f>
        <v>13572</v>
      </c>
      <c r="M25" s="25"/>
    </row>
    <row r="26" spans="1:13" ht="12.75" customHeight="1">
      <c r="A26" s="8" t="s">
        <v>57</v>
      </c>
      <c r="B26" s="54" t="s">
        <v>58</v>
      </c>
      <c r="C26" s="26"/>
      <c r="D26" s="32" t="s">
        <v>53</v>
      </c>
      <c r="E26" s="32">
        <v>200</v>
      </c>
      <c r="F26" s="32" t="s">
        <v>59</v>
      </c>
      <c r="G26" s="35">
        <v>20</v>
      </c>
      <c r="H26" s="24">
        <f t="shared" si="2"/>
        <v>4000</v>
      </c>
      <c r="I26" s="24">
        <v>4000</v>
      </c>
      <c r="J26" s="34"/>
      <c r="K26" s="34"/>
      <c r="L26" s="61">
        <f t="shared" si="0"/>
        <v>4000</v>
      </c>
      <c r="M26" s="25"/>
    </row>
    <row r="27" spans="1:13" ht="12.65" customHeight="1">
      <c r="A27" s="65" t="s">
        <v>60</v>
      </c>
      <c r="B27" s="55" t="s">
        <v>61</v>
      </c>
      <c r="C27" s="36"/>
      <c r="D27" s="37" t="s">
        <v>47</v>
      </c>
      <c r="E27" s="37">
        <v>7</v>
      </c>
      <c r="F27" s="37" t="s">
        <v>12</v>
      </c>
      <c r="G27" s="38">
        <v>1708</v>
      </c>
      <c r="H27" s="24">
        <f t="shared" si="2"/>
        <v>11956</v>
      </c>
      <c r="I27" s="24">
        <v>11956</v>
      </c>
      <c r="J27" s="38"/>
      <c r="K27" s="38"/>
      <c r="L27" s="61">
        <f t="shared" si="0"/>
        <v>11956</v>
      </c>
      <c r="M27" s="39"/>
    </row>
    <row r="28" spans="1:13" ht="12.65" customHeight="1">
      <c r="A28" s="65" t="s">
        <v>62</v>
      </c>
      <c r="B28" s="55" t="s">
        <v>63</v>
      </c>
      <c r="C28" s="36"/>
      <c r="D28" s="37" t="s">
        <v>53</v>
      </c>
      <c r="E28" s="37">
        <v>1</v>
      </c>
      <c r="F28" s="72" t="s">
        <v>64</v>
      </c>
      <c r="G28" s="38">
        <v>6000</v>
      </c>
      <c r="H28" s="24">
        <f t="shared" si="2"/>
        <v>6000</v>
      </c>
      <c r="I28" s="24">
        <v>6000</v>
      </c>
      <c r="J28" s="38"/>
      <c r="K28" s="38"/>
      <c r="L28" s="61">
        <f t="shared" si="0"/>
        <v>6000</v>
      </c>
      <c r="M28" s="39"/>
    </row>
    <row r="29" spans="1:13" ht="12.65" customHeight="1">
      <c r="A29" s="65" t="s">
        <v>65</v>
      </c>
      <c r="B29" s="55" t="s">
        <v>66</v>
      </c>
      <c r="C29" s="36"/>
      <c r="D29" s="37" t="s">
        <v>53</v>
      </c>
      <c r="E29" s="37">
        <v>1000</v>
      </c>
      <c r="F29" s="37" t="s">
        <v>67</v>
      </c>
      <c r="G29" s="38">
        <v>14</v>
      </c>
      <c r="H29" s="24">
        <f t="shared" si="2"/>
        <v>14000</v>
      </c>
      <c r="I29" s="24"/>
      <c r="J29" s="38">
        <v>14000</v>
      </c>
      <c r="K29" s="38"/>
      <c r="L29" s="61">
        <f t="shared" si="0"/>
        <v>14000</v>
      </c>
      <c r="M29" s="39"/>
    </row>
    <row r="30" spans="1:13" ht="12.65" customHeight="1">
      <c r="A30" s="65" t="s">
        <v>68</v>
      </c>
      <c r="B30" s="55" t="s">
        <v>69</v>
      </c>
      <c r="C30" s="36"/>
      <c r="D30" s="37" t="s">
        <v>53</v>
      </c>
      <c r="E30" s="37">
        <v>500</v>
      </c>
      <c r="F30" s="37" t="s">
        <v>70</v>
      </c>
      <c r="G30" s="38">
        <v>20</v>
      </c>
      <c r="H30" s="24">
        <f t="shared" si="2"/>
        <v>10000</v>
      </c>
      <c r="I30" s="24"/>
      <c r="J30" s="38">
        <v>10000</v>
      </c>
      <c r="K30" s="38"/>
      <c r="L30" s="61">
        <f t="shared" si="0"/>
        <v>10000</v>
      </c>
      <c r="M30" s="39"/>
    </row>
    <row r="31" spans="1:13" ht="12.65" customHeight="1">
      <c r="A31" s="65" t="s">
        <v>71</v>
      </c>
      <c r="B31" s="55" t="s">
        <v>72</v>
      </c>
      <c r="C31" s="36"/>
      <c r="D31" s="37" t="s">
        <v>53</v>
      </c>
      <c r="E31" s="37">
        <v>1</v>
      </c>
      <c r="F31" s="37" t="s">
        <v>73</v>
      </c>
      <c r="G31" s="38">
        <v>8500</v>
      </c>
      <c r="H31" s="24">
        <f t="shared" si="2"/>
        <v>8500</v>
      </c>
      <c r="I31" s="24">
        <v>2500</v>
      </c>
      <c r="J31" s="38">
        <v>3000</v>
      </c>
      <c r="K31" s="38">
        <v>3000</v>
      </c>
      <c r="L31" s="61">
        <f t="shared" si="0"/>
        <v>8500</v>
      </c>
      <c r="M31" s="39"/>
    </row>
    <row r="32" spans="1:13" ht="14">
      <c r="A32" s="40" t="s">
        <v>14</v>
      </c>
      <c r="B32" s="56"/>
      <c r="C32" s="27"/>
      <c r="D32" s="28"/>
      <c r="E32" s="28"/>
      <c r="F32" s="28"/>
      <c r="G32" s="29"/>
      <c r="H32" s="30">
        <f>SUM(H33:H33)</f>
        <v>0</v>
      </c>
      <c r="I32" s="30">
        <f>SUM(I33:I33)</f>
        <v>0</v>
      </c>
      <c r="J32" s="30">
        <f>SUM(J33:J33)</f>
        <v>0</v>
      </c>
      <c r="K32" s="30">
        <f>SUM(K33:K33)</f>
        <v>0</v>
      </c>
      <c r="L32" s="30">
        <f>SUM(L33:L33)</f>
        <v>0</v>
      </c>
      <c r="M32" s="31"/>
    </row>
    <row r="33" spans="1:14" ht="12.75" customHeight="1">
      <c r="A33" s="8"/>
      <c r="B33" s="54" t="s">
        <v>74</v>
      </c>
      <c r="C33" s="26"/>
      <c r="D33" s="32"/>
      <c r="E33" s="32"/>
      <c r="F33" s="32"/>
      <c r="G33" s="35"/>
      <c r="H33" s="24">
        <f>E33*G33</f>
        <v>0</v>
      </c>
      <c r="I33" s="24">
        <v>0</v>
      </c>
      <c r="J33" s="24">
        <v>0</v>
      </c>
      <c r="K33" s="24">
        <v>0</v>
      </c>
      <c r="L33" s="61">
        <f t="shared" si="0"/>
        <v>0</v>
      </c>
      <c r="M33" s="41"/>
    </row>
    <row r="34" spans="1:14" ht="14">
      <c r="A34" s="6" t="s">
        <v>15</v>
      </c>
      <c r="B34" s="53"/>
      <c r="C34" s="27"/>
      <c r="D34" s="28"/>
      <c r="E34" s="28"/>
      <c r="F34" s="28"/>
      <c r="G34" s="29"/>
      <c r="H34" s="30">
        <f>SUM(H35:H35)</f>
        <v>6000</v>
      </c>
      <c r="I34" s="30">
        <f t="shared" ref="I34:K34" si="3">SUM(I35:I35)</f>
        <v>2000</v>
      </c>
      <c r="J34" s="30">
        <f t="shared" si="3"/>
        <v>2000</v>
      </c>
      <c r="K34" s="30">
        <f t="shared" si="3"/>
        <v>2000</v>
      </c>
      <c r="L34" s="30">
        <f>SUM(L35)</f>
        <v>6000</v>
      </c>
      <c r="M34" s="31"/>
      <c r="N34" s="1"/>
    </row>
    <row r="35" spans="1:14" s="4" customFormat="1" ht="14">
      <c r="A35" s="42" t="s">
        <v>75</v>
      </c>
      <c r="B35" s="54" t="s">
        <v>76</v>
      </c>
      <c r="C35" s="43"/>
      <c r="D35" s="44"/>
      <c r="E35" s="44">
        <v>1</v>
      </c>
      <c r="F35" s="44" t="s">
        <v>73</v>
      </c>
      <c r="G35" s="45">
        <v>6000</v>
      </c>
      <c r="H35" s="24">
        <f>E35*G35</f>
        <v>6000</v>
      </c>
      <c r="I35" s="24">
        <v>2000</v>
      </c>
      <c r="J35" s="24">
        <v>2000</v>
      </c>
      <c r="K35" s="24">
        <v>2000</v>
      </c>
      <c r="L35" s="61">
        <f t="shared" si="0"/>
        <v>6000</v>
      </c>
      <c r="M35" s="25"/>
      <c r="N35" s="5"/>
    </row>
    <row r="36" spans="1:14" s="9" customFormat="1" ht="18.5" thickBot="1">
      <c r="A36" s="46" t="s">
        <v>8</v>
      </c>
      <c r="B36" s="57"/>
      <c r="C36" s="47"/>
      <c r="D36" s="47"/>
      <c r="E36" s="47"/>
      <c r="F36" s="47"/>
      <c r="G36" s="48"/>
      <c r="H36" s="48">
        <f>SUM(H7+H10+H12+H20+H32+H34)</f>
        <v>430482</v>
      </c>
      <c r="I36" s="48">
        <f>SUM(I7+I10+I12+I20+I32+I34)</f>
        <v>163060</v>
      </c>
      <c r="J36" s="48">
        <f>SUM(J7+J10+J12+J20+J32+J34)</f>
        <v>131568</v>
      </c>
      <c r="K36" s="48">
        <f>SUM(K7+K10+K12+K20+K32+K34)</f>
        <v>135854</v>
      </c>
      <c r="L36" s="48">
        <f>SUM(L7+L10+L12+L20+L32+L34)</f>
        <v>430482</v>
      </c>
      <c r="M36" s="49"/>
    </row>
    <row r="37" spans="1:14" ht="18">
      <c r="M37" s="50"/>
    </row>
    <row r="38" spans="1:14" ht="14">
      <c r="A38" s="10"/>
      <c r="B38" s="10"/>
    </row>
  </sheetData>
  <printOptions horizontalCentered="1"/>
  <pageMargins left="0.51181102362204722" right="0.51181102362204722" top="1.1811023622047245" bottom="0.74803149606299213" header="0.70866141732283472" footer="0.31496062992125984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eea2d8-3702-4cff-b14c-d3ad6e777bf0">
      <Terms xmlns="http://schemas.microsoft.com/office/infopath/2007/PartnerControls"/>
    </lcf76f155ced4ddcb4097134ff3c332f>
    <TaxCatchAll xmlns="9e63798c-5bb2-4f5b-b41f-1757aa72045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6A2F25BDA62E41B8B91E1A0D2ECB41" ma:contentTypeVersion="15" ma:contentTypeDescription="Create a new document." ma:contentTypeScope="" ma:versionID="4d2cafde6e2b44d9ceff4ccf434e1f18">
  <xsd:schema xmlns:xsd="http://www.w3.org/2001/XMLSchema" xmlns:xs="http://www.w3.org/2001/XMLSchema" xmlns:p="http://schemas.microsoft.com/office/2006/metadata/properties" xmlns:ns2="d3eea2d8-3702-4cff-b14c-d3ad6e777bf0" xmlns:ns3="9e63798c-5bb2-4f5b-b41f-1757aa72045e" targetNamespace="http://schemas.microsoft.com/office/2006/metadata/properties" ma:root="true" ma:fieldsID="80c73d83f0972b8e275c99e60bd749cd" ns2:_="" ns3:_="">
    <xsd:import namespace="d3eea2d8-3702-4cff-b14c-d3ad6e777bf0"/>
    <xsd:import namespace="9e63798c-5bb2-4f5b-b41f-1757aa720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ea2d8-3702-4cff-b14c-d3ad6e777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3798c-5bb2-4f5b-b41f-1757aa72045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b133e09-77b4-4364-aed4-07ba8669bda6}" ma:internalName="TaxCatchAll" ma:showField="CatchAllData" ma:web="9e63798c-5bb2-4f5b-b41f-1757aa720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22C1E-B5A9-4FB5-933F-A4B9E722C5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956CA2-6495-4B24-B545-0AA47B15C5E4}">
  <ds:schemaRefs>
    <ds:schemaRef ds:uri="http://schemas.microsoft.com/office/2006/metadata/properties"/>
    <ds:schemaRef ds:uri="http://schemas.microsoft.com/office/infopath/2007/PartnerControls"/>
    <ds:schemaRef ds:uri="d3eea2d8-3702-4cff-b14c-d3ad6e777bf0"/>
    <ds:schemaRef ds:uri="9e63798c-5bb2-4f5b-b41f-1757aa72045e"/>
  </ds:schemaRefs>
</ds:datastoreItem>
</file>

<file path=customXml/itemProps3.xml><?xml version="1.0" encoding="utf-8"?>
<ds:datastoreItem xmlns:ds="http://schemas.openxmlformats.org/officeDocument/2006/customXml" ds:itemID="{5515D269-3528-426F-8A1A-61F2742EC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ea2d8-3702-4cff-b14c-d3ad6e777bf0"/>
    <ds:schemaRef ds:uri="9e63798c-5bb2-4f5b-b41f-1757aa720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Eelarve_detailne</vt:lpstr>
    </vt:vector>
  </TitlesOfParts>
  <Manager/>
  <Company>CAMP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Kivi - ESTDEV</dc:creator>
  <cp:keywords/>
  <dc:description/>
  <cp:lastModifiedBy>Meribel Moldau - JUSTDIGI</cp:lastModifiedBy>
  <cp:revision/>
  <dcterms:created xsi:type="dcterms:W3CDTF">2011-03-24T07:10:37Z</dcterms:created>
  <dcterms:modified xsi:type="dcterms:W3CDTF">2025-04-16T14:59:41Z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0x0101001B6A2F25BDA62E41B8B91E1A0D2ECB41</vt:lpwstr>
  </property>
  <property fmtid="{D5CDD505-2E9C-101B-9397-08002B2CF9AE}" pid="3" name="Order">
    <vt:r8>25600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2024-11-11T12:02:22Z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ffa5fb28-8ffe-47c4-b212-50ba1cb63c33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